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<sst xmlns="http://schemas.openxmlformats.org/spreadsheetml/2006/main" count="204" uniqueCount="202">
  <si>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</si>
  <si>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</si>
  <si>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</si>
  <si>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</si>
  <si>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</si>
  <si>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</si>
  <si>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</si>
  <si>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</si>
  <si>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</si>
  <si>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</si>
  <si>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</si>
  <si>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</si>
  <si>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</si>
  <si>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</si>
  <si>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</si>
  <si>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</si>
  <si>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</si>
  <si>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</si>
  <si>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</si>
  <si>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</si>
  <si>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</si>
  <si>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</si>
  <si>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</si>
  <si>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</si>
  <si>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</si>
  <si>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</si>
  <si>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</si>
  <si>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</si>
  <si>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</si>
  <si>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</si>
  <si>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</si>
  <si>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</si>
  <si>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</si>
  <si>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</si>
  <si>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</si>
  <si>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</si>
  <si>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</si>
  <si>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</si>
  <si>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</si>
  <si>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</si>
  <si>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</si>
  <si>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</si>
  <si>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</si>
  <si>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</si>
  <si>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</si>
  <si>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</si>
  <si>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</si>
  <si>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</si>
  <si>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</si>
  <si>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</si>
  <si>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</si>
  <si>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</si>
  <si>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</si>
  <si>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</si>
  <si>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</si>
  <si>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</si>
  <si>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</si>
  <si>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</si>
  <si>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</si>
  <si>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</si>
  <si>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</si>
  <si>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</si>
  <si>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</si>
  <si>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</si>
  <si>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</si>
  <si>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</si>
  <si>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</si>
  <si>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</si>
  <si>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</si>
  <si>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</si>
  <si>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</si>
  <si>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</si>
  <si>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</si>
  <si>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</si>
  <si>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</si>
  <si>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</si>
  <si>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</si>
  <si>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</si>
  <si>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</si>
  <si>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</si>
  <si>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</si>
  <si>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</si>
  <si>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</si>
  <si>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</si>
  <si>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</si>
  <si>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</si>
  <si>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</si>
  <si>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</si>
  <si>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</si>
  <si>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</si>
  <si>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</si>
  <si>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</si>
  <si>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</si>
  <si>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</si>
  <si>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</si>
  <si>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</si>
  <si>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</si>
  <si>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</si>
  <si>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</si>
  <si>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</si>
  <si>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</si>
  <si>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</si>
  <si>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</si>
  <si>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</si>
  <si>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</si>
  <si>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</si>
  <si>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</si>
  <si>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</si>
  <si>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</si>
  <si>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</si>
  <si>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</si>
  <si>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</si>
  <si>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</si>
  <si>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</si>
  <si>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</si>
  <si>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</si>
  <si>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</si>
  <si>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</si>
  <si>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</si>
  <si>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</si>
  <si>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</si>
  <si>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</si>
  <si>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</si>
  <si>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</si>
  <si>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</si>
  <si>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</si>
  <si>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</si>
  <si>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</si>
  <si>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</si>
  <si>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</si>
  <si>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</si>
  <si>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</si>
  <si>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</si>
  <si>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</si>
  <si>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</si>
  <si>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</si>
  <si>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</si>
  <si>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</si>
  <si>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</si>
  <si>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</si>
  <si>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</si>
  <si>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</si>
  <si>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</si>
  <si>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</si>
  <si>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</si>
  <si>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</si>
  <si>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</si>
  <si>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</si>
  <si>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</si>
  <si>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</si>
  <si>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</si>
  <si>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</si>
  <si>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</si>
  <si>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</si>
  <si>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</si>
  <si>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</si>
  <si>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</si>
  <si>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</si>
  <si>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</si>
  <si>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</si>
  <si>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</si>
  <si>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</si>
  <si>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</si>
  <si>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</si>
  <si>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</si>
  <si>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</si>
  <si>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</si>
  <si>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</si>
  <si>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</si>
  <si>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</si>
  <si>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</si>
  <si>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</si>
  <si>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</si>
  <si>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</si>
  <si>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</si>
  <si>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</si>
  <si>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</si>
  <si>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</si>
  <si>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</si>
  <si>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</si>
  <si>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</si>
  <si>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</si>
  <si>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</si>
  <si>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</si>
  <si>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</si>
  <si>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</si>
  <si>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</si>
  <si>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</si>
  <si>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</si>
  <si>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</si>
  <si>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</si>
  <si>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</si>
  <si>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</si>
  <si>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</si>
  <si>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</si>
  <si>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</si>
  <si>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</si>
  <si>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</si>
  <si>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</si>
  <si>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</si>
  <si>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</si>
  <si>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22.09.17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</si>
</sst>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S17" sqref="AS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30" width="0" style="6" hidden="1" customWidth="1"/>
    <col min="31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201</v>
      </c>
      <c r="I5" s="82" t="s">
        <v>27</v>
      </c>
      <c r="J5" s="82" t="s">
        <v>200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7" t="s">
        <v>199</v>
      </c>
      <c r="M6" s="82" t="s">
        <v>175</v>
      </c>
      <c r="N6" s="99" t="s">
        <v>176</v>
      </c>
      <c r="O6" s="82" t="s">
        <v>177</v>
      </c>
      <c r="P6" s="82" t="s">
        <v>178</v>
      </c>
      <c r="Q6" s="82" t="s">
        <v>179</v>
      </c>
      <c r="R6" s="82" t="s">
        <v>180</v>
      </c>
      <c r="S6" s="82" t="s">
        <v>181</v>
      </c>
      <c r="T6" s="82" t="s">
        <v>182</v>
      </c>
      <c r="U6" s="82" t="s">
        <v>183</v>
      </c>
      <c r="V6" s="82" t="s">
        <v>184</v>
      </c>
      <c r="W6" s="82" t="s">
        <v>185</v>
      </c>
      <c r="X6" s="82" t="s">
        <v>186</v>
      </c>
      <c r="Y6" s="82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3"/>
      <c r="N7" s="100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0" t="s">
        <v>11</v>
      </c>
      <c r="B8" s="91"/>
      <c r="C8" s="91"/>
      <c r="D8" s="91"/>
      <c r="E8" s="91"/>
      <c r="F8" s="91"/>
      <c r="G8" s="91"/>
      <c r="H8" s="91"/>
      <c r="I8" s="91"/>
      <c r="J8" s="92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84683063.08999999</v>
      </c>
      <c r="I9" s="38">
        <f aca="true" t="shared" si="0" ref="I9:I25">H9/D9*100</f>
        <v>56.090927449130504</v>
      </c>
      <c r="J9" s="63">
        <f>H9/(M9+N9+O9+N26+O26+P9+P26+Q9+R9+S9+Q26+R26+S26+T9+T26+U9+U26)*100</f>
        <v>82.86128151717683</v>
      </c>
      <c r="K9" s="64"/>
      <c r="L9" s="65">
        <f>H10-(M9+N9+O9+P9+Q9+R9+S9+T9+U9)</f>
        <v>-2294502.9500000067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32121698.249999996</v>
      </c>
      <c r="I10" s="39">
        <f t="shared" si="0"/>
        <v>55.28945799008832</v>
      </c>
      <c r="J10" s="69">
        <f>H10/(M9+N9+O9+P9+Q9+R9+S9+T9+U9)*100</f>
        <v>93.33307317485114</v>
      </c>
      <c r="L10" s="65">
        <f>(H11+H14+H15+H17)-(M10+N10+O10+P10+Q10+R10+S10+T10+U10)</f>
        <v>-62846.21999999881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8">
        <f>H11/D11*100</f>
        <v>54.508250405206915</v>
      </c>
      <c r="J11" s="94">
        <f>(H11+H13+H14+H15+H16+H17)/(M10+N10+O10+P10+Q10+R10+S10+T10+U10)*100</f>
        <v>99.70026428736466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5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5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95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95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95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6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94">
        <f>H18/(M18+N18+O18+P18+Q18+R18+S18+T18+U18)*100</f>
        <v>83.40651056340998</v>
      </c>
      <c r="L18" s="65">
        <f>H18-(M18+N18+O18+P18+Q18+R18+S18+T18+U18)</f>
        <v>-2231656.7300000023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95"/>
      <c r="L19" s="65">
        <f>D19-H19</f>
        <v>80420.47999999952</v>
      </c>
      <c r="M19" s="24"/>
      <c r="N19" s="70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95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95"/>
      <c r="L21" s="65">
        <f t="shared" si="5"/>
        <v>16144.599999999977</v>
      </c>
      <c r="M21" s="24"/>
      <c r="N21" s="70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95"/>
      <c r="L22" s="65">
        <f t="shared" si="5"/>
        <v>32500.73999999999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5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5"/>
      <c r="L24" s="65">
        <f t="shared" si="5"/>
        <v>25751.550000000017</v>
      </c>
      <c r="M24" s="24"/>
      <c r="N24" s="70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96"/>
      <c r="L25" s="65">
        <f t="shared" si="5"/>
        <v>537815.8900000001</v>
      </c>
      <c r="M25" s="24"/>
      <c r="N25" s="70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52561364.839999996</v>
      </c>
      <c r="I26" s="22">
        <f>H26/D26*100</f>
        <v>56.59226890218449</v>
      </c>
      <c r="J26" s="22">
        <f>H26/(N26+O26+P26+Q26+R26+S26+T26+U26)*100</f>
        <v>77.54427685068403</v>
      </c>
      <c r="L26" s="65">
        <f>H26-(M26+N26+O26+P26+Q26+R26+S26+T26+U26)</f>
        <v>-15221026.04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72">
        <f>H31/(N31+O31+P31+Q31+R31+S31+T31+U31)*100</f>
        <v>28.245458573327426</v>
      </c>
      <c r="L31" s="65">
        <f t="shared" si="11"/>
        <v>-129560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72">
        <f aca="true" t="shared" si="14" ref="J32:J95">H32/(N32+O32+P32+Q32+R32+S32+T32+U32)*100</f>
        <v>6.844850065189048</v>
      </c>
      <c r="L32" s="65">
        <f t="shared" si="11"/>
        <v>-571600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72">
        <f t="shared" si="14"/>
        <v>24.379432624113477</v>
      </c>
      <c r="L39" s="65">
        <f t="shared" si="11"/>
        <v>-136480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72">
        <f t="shared" si="14"/>
        <v>8.258928571428571</v>
      </c>
      <c r="L48" s="65">
        <f t="shared" si="11"/>
        <v>-411000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66.5873663624511</v>
      </c>
      <c r="L49" s="65">
        <f t="shared" si="11"/>
        <v>-512549.80000000005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>
        <f>310800</f>
        <v>310800</v>
      </c>
      <c r="V49" s="73">
        <f>306800+4000-310800</f>
        <v>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72">
        <f t="shared" si="14"/>
        <v>20.714285714285715</v>
      </c>
      <c r="L54" s="65">
        <f t="shared" si="11"/>
        <v>-222000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72">
        <f t="shared" si="14"/>
        <v>24.444444444444443</v>
      </c>
      <c r="L59" s="65">
        <f t="shared" si="11"/>
        <v>-136000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72">
        <f t="shared" si="14"/>
        <v>58.71212121212122</v>
      </c>
      <c r="L60" s="65">
        <f t="shared" si="11"/>
        <v>-21800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/>
      <c r="I92" s="41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72">
        <f t="shared" si="14"/>
        <v>15.55177269192779</v>
      </c>
      <c r="L94" s="65">
        <f t="shared" si="15"/>
        <v>-200915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95.66055472263868</v>
      </c>
      <c r="L109" s="65">
        <f t="shared" si="15"/>
        <v>-8683.23000000001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>
        <f>-3300</f>
        <v>-3300</v>
      </c>
      <c r="V109" s="73"/>
      <c r="W109" s="73">
        <v>915300</v>
      </c>
      <c r="X109" s="73">
        <f>915300+3300</f>
        <v>918600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72">
        <f t="shared" si="19"/>
        <v>99.90128000406558</v>
      </c>
      <c r="L110" s="65">
        <f t="shared" si="15"/>
        <v>-3300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>
        <f>3300</f>
        <v>3300</v>
      </c>
      <c r="V110" s="73"/>
      <c r="W110" s="73">
        <f>1201000-1201000</f>
        <v>0</v>
      </c>
      <c r="X110" s="73">
        <f>161512.18-97237-3300</f>
        <v>60975.17999999999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8.850584945571505</v>
      </c>
      <c r="L116" s="65">
        <f t="shared" si="15"/>
        <v>-700310.8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67081-67081+572000</f>
        <v>572000</v>
      </c>
      <c r="V116" s="73">
        <f>536900-536900</f>
        <v>0</v>
      </c>
      <c r="W116" s="73">
        <f>75166-75166</f>
        <v>0</v>
      </c>
      <c r="X116" s="73">
        <f>153400-153400+722589.2-572000</f>
        <v>150589.19999999995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96.87720779011103</v>
      </c>
      <c r="L119" s="65">
        <f t="shared" si="15"/>
        <v>-146032.34999999963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>
        <f>-530116</f>
        <v>-530116</v>
      </c>
      <c r="V119" s="73">
        <f>530116</f>
        <v>530116</v>
      </c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2029000+1800000-3179707.24-454000</f>
        <v>195292.75999999978</v>
      </c>
      <c r="W123" s="74">
        <f>3165057.24+454000</f>
        <v>3619057.24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95.83124226308196</v>
      </c>
      <c r="L131" s="65">
        <f t="shared" si="15"/>
        <v>-464322.7400000002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199004+202000-882800</f>
        <v>-481796</v>
      </c>
      <c r="V131" s="74">
        <f>28348+246000+439068-700000+41554.92+310800</f>
        <v>365770.92</v>
      </c>
      <c r="W131" s="74">
        <f>1472356+3920000-3920000-1016660+688500+836000+331000+572000</f>
        <v>2883196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72">
        <f t="shared" si="19"/>
        <v>73.68332093085755</v>
      </c>
      <c r="L132" s="65">
        <f t="shared" si="15"/>
        <v>-1035598.6200000001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72">
        <f t="shared" si="19"/>
        <v>100</v>
      </c>
      <c r="L136" s="65">
        <f t="shared" si="15"/>
        <v>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-402116+76116</f>
        <v>-326000</v>
      </c>
      <c r="V136" s="73">
        <f>152144.93-76116</f>
        <v>76028.93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72">
        <f t="shared" si="19"/>
        <v>100</v>
      </c>
      <c r="L141" s="65">
        <f t="shared" si="15"/>
        <v>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72">
        <f t="shared" si="19"/>
        <v>6.837606837606838</v>
      </c>
      <c r="L143" s="65">
        <f t="shared" si="15"/>
        <v>-109000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72">
        <f t="shared" si="19"/>
        <v>8.620689655172415</v>
      </c>
      <c r="L144" s="65">
        <f t="shared" si="15"/>
        <v>-106000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93" t="s">
        <v>64</v>
      </c>
      <c r="B146" s="93"/>
      <c r="C146" s="93"/>
      <c r="D146" s="93"/>
      <c r="E146" s="93"/>
      <c r="F146" s="93"/>
      <c r="G146" s="93"/>
      <c r="H146" s="93"/>
      <c r="I146" s="93"/>
      <c r="J146" s="93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82625052.24000001</v>
      </c>
      <c r="I147" s="38">
        <f>H147/D147*100</f>
        <v>55.94037470041029</v>
      </c>
      <c r="J147" s="38">
        <f>H147/(N147+O147+P147+Q147+R147+S147+T147+U147)*100</f>
        <v>82.9528320606043</v>
      </c>
      <c r="K147" s="64"/>
      <c r="L147" s="65">
        <f>H147-(M147+N147+O147+P147+Q147+R147+S147+T147+U147)</f>
        <v>-16979807.75999999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11239435</v>
      </c>
      <c r="V147" s="66">
        <f t="shared" si="26"/>
        <v>11272700</v>
      </c>
      <c r="W147" s="66">
        <f t="shared" si="26"/>
        <v>20354240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82625052.24000001</v>
      </c>
      <c r="I148" s="53">
        <f>H148/D148*100</f>
        <v>55.94037470041029</v>
      </c>
      <c r="J148" s="76">
        <f>H148/(N147+O147+P147+Q147+R147+S147+T147+U147)*100</f>
        <v>82.9528320606043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7"/>
        <v>#DIV/0!</v>
      </c>
      <c r="L151" s="65">
        <f t="shared" si="28"/>
        <v>0</v>
      </c>
      <c r="M151" s="71"/>
      <c r="N151" s="71"/>
      <c r="O151" s="71"/>
      <c r="P151" s="71"/>
      <c r="Q151" s="71"/>
      <c r="R151" s="71"/>
      <c r="S151" s="71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72">
        <f t="shared" si="27"/>
        <v>96.5808888888889</v>
      </c>
      <c r="L159" s="65">
        <f t="shared" si="28"/>
        <v>-1538.5999999999985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f>3775000-3880000</f>
        <v>-105000</v>
      </c>
      <c r="V159" s="71">
        <f>1550000</f>
        <v>1550000</v>
      </c>
      <c r="W159" s="71">
        <f>714800+2330000</f>
        <v>3044800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72">
        <f t="shared" si="27"/>
        <v>100</v>
      </c>
      <c r="L160" s="65">
        <f t="shared" si="28"/>
        <v>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78.73974796779032</v>
      </c>
      <c r="L162" s="65">
        <f t="shared" si="28"/>
        <v>-890285.8099999996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95.86823529411764</v>
      </c>
      <c r="L164" s="65">
        <f t="shared" si="28"/>
        <v>-21072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>
        <f>-490000</f>
        <v>-490000</v>
      </c>
      <c r="V164" s="71">
        <v>490000</v>
      </c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</f>
        <v>32473008.84</v>
      </c>
      <c r="I166" s="43">
        <f>H166/G166*100</f>
        <v>72.97305357303371</v>
      </c>
      <c r="J166" s="72">
        <f t="shared" si="27"/>
        <v>93.19674785828059</v>
      </c>
      <c r="L166" s="65">
        <f t="shared" si="28"/>
        <v>-2370491.16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-400000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f>600000-500000</f>
        <v>100000</v>
      </c>
      <c r="V167" s="71">
        <v>600000</v>
      </c>
      <c r="W167" s="71">
        <f>500000</f>
        <v>500000</v>
      </c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72">
        <f t="shared" si="27"/>
        <v>49.9871197761194</v>
      </c>
      <c r="L168" s="65">
        <f t="shared" si="28"/>
        <v>-1340345.1900000002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>
        <f>-520000</f>
        <v>-520000</v>
      </c>
      <c r="V168" s="71">
        <f>120000</f>
        <v>120000</v>
      </c>
      <c r="W168" s="71">
        <f>400000</f>
        <v>400000</v>
      </c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</f>
        <v>1237189.85</v>
      </c>
      <c r="I175" s="43">
        <f>H175/G175*100</f>
        <v>37.49060151515152</v>
      </c>
      <c r="J175" s="72">
        <f t="shared" si="27"/>
        <v>89.00646402877699</v>
      </c>
      <c r="L175" s="65">
        <f t="shared" si="28"/>
        <v>-152810.1499999999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>
        <f>-2400000+490000</f>
        <v>-1910000</v>
      </c>
      <c r="V175" s="71">
        <f>2400000-490000</f>
        <v>1910000</v>
      </c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72">
        <f t="shared" si="27"/>
        <v>59.68302072917467</v>
      </c>
      <c r="L176" s="65">
        <f t="shared" si="28"/>
        <v>-4193288.380000001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f>-330000-100000+1500000</f>
        <v>1070000</v>
      </c>
      <c r="V176" s="71">
        <f>2789200+330000+100000-1500000</f>
        <v>1719200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4351772.44+7541+3400000+581526.71+692783.83+51856.29-69412.37+3809977.2+5016173</f>
        <v>17842218.1</v>
      </c>
      <c r="I177" s="43">
        <f>H177/G177*100</f>
        <v>82.98706093023257</v>
      </c>
      <c r="J177" s="72">
        <f t="shared" si="27"/>
        <v>97.87283653318705</v>
      </c>
      <c r="L177" s="65">
        <f t="shared" si="28"/>
        <v>-387781.8999999985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</f>
        <v>6595996.41</v>
      </c>
      <c r="I178" s="43">
        <f>H178/G178*100</f>
        <v>50.73843392307692</v>
      </c>
      <c r="J178" s="72">
        <f t="shared" si="27"/>
        <v>99.32233714801988</v>
      </c>
      <c r="L178" s="65">
        <f t="shared" si="28"/>
        <v>-45003.58999999985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167308115.32999998</v>
      </c>
      <c r="I182" s="38">
        <f>H182/D182*100</f>
        <v>56.016475882456064</v>
      </c>
      <c r="J182" s="81">
        <f>H182/(N182+O182+P182+Q182+R182+S182+T182+U182)*100</f>
        <v>85.22967650065993</v>
      </c>
      <c r="L182" s="65">
        <f t="shared" si="28"/>
        <v>-34495336.75</v>
      </c>
      <c r="M182" s="71">
        <f>M9+M147</f>
        <v>5500800</v>
      </c>
      <c r="N182" s="71">
        <f aca="true" t="shared" si="34" ref="N182:X182">N9+N26+N147</f>
        <v>7474745</v>
      </c>
      <c r="O182" s="71">
        <f t="shared" si="34"/>
        <v>53795455.42</v>
      </c>
      <c r="P182" s="71">
        <f t="shared" si="34"/>
        <v>21619022</v>
      </c>
      <c r="Q182" s="71">
        <f t="shared" si="34"/>
        <v>15812043</v>
      </c>
      <c r="R182" s="71">
        <f t="shared" si="34"/>
        <v>11312906.419999998</v>
      </c>
      <c r="S182" s="71">
        <f t="shared" si="34"/>
        <v>26779125.97</v>
      </c>
      <c r="T182" s="71">
        <f t="shared" si="34"/>
        <v>38469787.04</v>
      </c>
      <c r="U182" s="71">
        <f t="shared" si="34"/>
        <v>21039567.23</v>
      </c>
      <c r="V182" s="71">
        <f t="shared" si="34"/>
        <v>29045132.58</v>
      </c>
      <c r="W182" s="71">
        <f t="shared" si="34"/>
        <v>35727624.79</v>
      </c>
      <c r="X182" s="71">
        <f t="shared" si="34"/>
        <v>32100408.12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2017-09-22T12:29:04Z</dcterms:modified>
  <cp:category/>
  <cp:version/>
  <cp:contentType/>
  <cp:contentStatus/>
</cp:coreProperties>
</file>